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date1904="1" autoCompressPictures="0"/>
  <bookViews>
    <workbookView xWindow="4180" yWindow="1340" windowWidth="20860" windowHeight="20560" tabRatio="500"/>
  </bookViews>
  <sheets>
    <sheet name="TCID50" sheetId="5" r:id="rId1"/>
  </sheets>
  <definedNames>
    <definedName name="_xlnm.Print_Area" localSheetId="0">TCID50!$B$2:$Q$45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4" i="5" l="1"/>
  <c r="W14" i="5"/>
  <c r="N15" i="5"/>
  <c r="W15" i="5"/>
  <c r="N17" i="5"/>
  <c r="N16" i="5"/>
  <c r="W17" i="5"/>
  <c r="N18" i="5"/>
  <c r="W18" i="5"/>
  <c r="N19" i="5"/>
  <c r="W19" i="5"/>
  <c r="N20" i="5"/>
  <c r="W20" i="5"/>
  <c r="N21" i="5"/>
  <c r="W21" i="5"/>
  <c r="N22" i="5"/>
  <c r="W22" i="5"/>
  <c r="N23" i="5"/>
  <c r="W23" i="5"/>
  <c r="W16" i="5"/>
  <c r="B34" i="5"/>
  <c r="B42" i="5"/>
  <c r="T26" i="5"/>
  <c r="U26" i="5"/>
  <c r="V26" i="5"/>
  <c r="Y14" i="5"/>
  <c r="X14" i="5"/>
  <c r="T19" i="5"/>
  <c r="T18" i="5"/>
  <c r="T17" i="5"/>
  <c r="T16" i="5"/>
  <c r="T15" i="5"/>
  <c r="T14" i="5"/>
  <c r="T20" i="5"/>
  <c r="T21" i="5"/>
  <c r="P20" i="5"/>
  <c r="T22" i="5"/>
  <c r="T23" i="5"/>
  <c r="P23" i="5"/>
  <c r="O23" i="5"/>
  <c r="L23" i="5"/>
  <c r="P22" i="5"/>
  <c r="O22" i="5"/>
  <c r="L22" i="5"/>
  <c r="P21" i="5"/>
  <c r="O21" i="5"/>
  <c r="L21" i="5"/>
  <c r="O20" i="5"/>
  <c r="L20" i="5"/>
  <c r="P19" i="5"/>
  <c r="O19" i="5"/>
  <c r="L19" i="5"/>
  <c r="P18" i="5"/>
  <c r="O18" i="5"/>
  <c r="L18" i="5"/>
  <c r="P17" i="5"/>
  <c r="O17" i="5"/>
  <c r="L17" i="5"/>
  <c r="P16" i="5"/>
  <c r="O16" i="5"/>
  <c r="L16" i="5"/>
  <c r="P15" i="5"/>
  <c r="O15" i="5"/>
  <c r="L15" i="5"/>
  <c r="P14" i="5"/>
  <c r="S26" i="5"/>
  <c r="O14" i="5"/>
  <c r="L14" i="5"/>
  <c r="S22" i="5"/>
  <c r="S15" i="5"/>
  <c r="S21" i="5"/>
  <c r="S20" i="5"/>
  <c r="S16" i="5"/>
  <c r="U21" i="5"/>
  <c r="V21" i="5"/>
  <c r="U17" i="5"/>
  <c r="V17" i="5"/>
  <c r="U15" i="5"/>
  <c r="V15" i="5"/>
  <c r="S17" i="5"/>
  <c r="U22" i="5"/>
  <c r="V22" i="5"/>
  <c r="U20" i="5"/>
  <c r="V20" i="5"/>
  <c r="U14" i="5"/>
  <c r="V14" i="5"/>
  <c r="U16" i="5"/>
  <c r="V16" i="5"/>
  <c r="S14" i="5"/>
  <c r="U23" i="5"/>
  <c r="V23" i="5"/>
  <c r="S23" i="5"/>
  <c r="S18" i="5"/>
  <c r="U19" i="5"/>
  <c r="V19" i="5"/>
  <c r="U18" i="5"/>
  <c r="V18" i="5"/>
  <c r="S19" i="5"/>
  <c r="N27" i="5"/>
  <c r="N28" i="5"/>
  <c r="M25" i="5"/>
  <c r="N33" i="5"/>
  <c r="N31" i="5"/>
  <c r="N36" i="5"/>
  <c r="N30" i="5"/>
  <c r="N35" i="5"/>
  <c r="N29" i="5"/>
  <c r="N34" i="5"/>
</calcChain>
</file>

<file path=xl/sharedStrings.xml><?xml version="1.0" encoding="utf-8"?>
<sst xmlns="http://schemas.openxmlformats.org/spreadsheetml/2006/main" count="57" uniqueCount="49">
  <si>
    <t>pi</t>
  </si>
  <si>
    <t>last dilu</t>
  </si>
  <si>
    <t>single pi</t>
  </si>
  <si>
    <t xml:space="preserve"> -sd</t>
  </si>
  <si>
    <t xml:space="preserve"> +sd</t>
  </si>
  <si>
    <t>#pos</t>
  </si>
  <si>
    <t>#neg</t>
  </si>
  <si>
    <t>last 100% inf. dilution:</t>
  </si>
  <si>
    <t>dilution factor:</t>
  </si>
  <si>
    <t>volume per well:</t>
  </si>
  <si>
    <t>wells per dilution:</t>
  </si>
  <si>
    <t>dilution (log10)</t>
  </si>
  <si>
    <t>please fill in bold blue numbers</t>
  </si>
  <si>
    <t>initial dilution:</t>
  </si>
  <si>
    <t xml:space="preserve"> 1:</t>
  </si>
  <si>
    <t>dilution (ratio)</t>
  </si>
  <si>
    <t>always decreasing?</t>
  </si>
  <si>
    <t>lowest dilution all positive?</t>
  </si>
  <si>
    <t>highest dilution all negative?</t>
  </si>
  <si>
    <t>µL</t>
  </si>
  <si>
    <t>M. Horzinek: Kompendium der allgemeinen Virologie. Pareys Studientexte, Verlag Paul Parey, Berlin und Hamburg, 1985</t>
  </si>
  <si>
    <t>Literature:</t>
  </si>
  <si>
    <t>Wulff et al., Journal of Clinical Bioinformatics, 2012</t>
  </si>
  <si>
    <t>Vieyres et al., Methods, 2013</t>
  </si>
  <si>
    <t>Wilham et al., Plos Pathogens, 2010</t>
  </si>
  <si>
    <t>Hamilton et al., Environmental Science and Technology, 1977</t>
  </si>
  <si>
    <t>*by Marco Binder; adapted @ TWC</t>
  </si>
  <si>
    <t>TCID50/mL:</t>
  </si>
  <si>
    <t>FFU/mL:</t>
  </si>
  <si>
    <t>detection limit</t>
  </si>
  <si>
    <t>copied from Vieyres 2013</t>
  </si>
  <si>
    <r>
      <t>TCID</t>
    </r>
    <r>
      <rPr>
        <b/>
        <sz val="9"/>
        <rFont val="Verdana"/>
        <family val="2"/>
      </rPr>
      <t xml:space="preserve">50 </t>
    </r>
    <r>
      <rPr>
        <b/>
        <sz val="16"/>
        <rFont val="Verdana"/>
        <family val="2"/>
      </rPr>
      <t>calculator (v2.1 - 20-01-2017_MB)</t>
    </r>
  </si>
  <si>
    <t>Mark positive wells here:</t>
  </si>
  <si>
    <t>A</t>
  </si>
  <si>
    <t>B</t>
  </si>
  <si>
    <t>C</t>
  </si>
  <si>
    <t>D</t>
  </si>
  <si>
    <t>E</t>
  </si>
  <si>
    <t>F</t>
  </si>
  <si>
    <t>G</t>
  </si>
  <si>
    <t>H</t>
  </si>
  <si>
    <t>Signature:</t>
  </si>
  <si>
    <t>Counter-checked by:</t>
  </si>
  <si>
    <t>Carla Counterchecker</t>
  </si>
  <si>
    <t>Counted by:</t>
  </si>
  <si>
    <t>Teo Testcounter</t>
  </si>
  <si>
    <t>Counted on (date):</t>
  </si>
  <si>
    <t>20-01-2017: added columns A-K (graphical plate + signatures + date)</t>
  </si>
  <si>
    <t>20-01-2017: corrected column "W" to fail also if row is fully positive but row before was 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</si>
</sst>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Verdana"/>
    </font>
    <font>
      <sz val="10"/>
      <name val="Verdana"/>
      <family val="2"/>
    </font>
    <font>
      <b/>
      <sz val="16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i/>
      <sz val="12"/>
      <name val="Verdana"/>
      <family val="2"/>
    </font>
    <font>
      <i/>
      <u/>
      <sz val="12"/>
      <name val="Verdana"/>
      <family val="2"/>
    </font>
    <font>
      <sz val="9"/>
      <name val="Verdana"/>
      <family val="2"/>
    </font>
    <font>
      <sz val="8"/>
      <name val="Verdana"/>
      <family val="2"/>
    </font>
    <font>
      <u/>
      <sz val="8"/>
      <name val="Verdana"/>
      <family val="2"/>
    </font>
    <font>
      <sz val="12"/>
      <color theme="0"/>
      <name val="Verdana"/>
      <family val="2"/>
    </font>
    <font>
      <sz val="10"/>
      <color theme="0"/>
      <name val="Verdana"/>
      <family val="2"/>
    </font>
    <font>
      <b/>
      <sz val="12"/>
      <color rgb="FF0070C0"/>
      <name val="Verdana"/>
      <family val="2"/>
    </font>
    <font>
      <i/>
      <sz val="12"/>
      <color theme="0" tint="-4.9989318521683403E-2"/>
      <name val="Verdana"/>
      <family val="2"/>
    </font>
    <font>
      <b/>
      <sz val="11"/>
      <name val="Verdana"/>
      <family val="2"/>
    </font>
    <font>
      <sz val="10"/>
      <color theme="0" tint="-0.34998626667073579"/>
      <name val="Verdana"/>
      <family val="2"/>
    </font>
    <font>
      <i/>
      <sz val="12"/>
      <color theme="0" tint="-0.34998626667073579"/>
      <name val="Verdana"/>
      <family val="2"/>
    </font>
    <font>
      <b/>
      <sz val="8"/>
      <name val="Verdana"/>
      <family val="2"/>
    </font>
    <font>
      <b/>
      <sz val="10"/>
      <name val="Verdana"/>
    </font>
    <font>
      <u/>
      <sz val="10"/>
      <color theme="10"/>
      <name val="Verdana"/>
    </font>
    <font>
      <u/>
      <sz val="10"/>
      <color theme="11"/>
      <name val="Verdana"/>
    </font>
    <font>
      <i/>
      <sz val="10"/>
      <name val="Verdana"/>
    </font>
    <font>
      <sz val="6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8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2" fillId="0" borderId="0" xfId="0" applyFont="1"/>
    <xf numFmtId="0" fontId="1" fillId="2" borderId="0" xfId="0" applyFont="1" applyFill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/>
    <xf numFmtId="0" fontId="2" fillId="2" borderId="0" xfId="0" applyFont="1" applyFill="1" applyBorder="1"/>
    <xf numFmtId="0" fontId="1" fillId="2" borderId="0" xfId="0" applyFont="1" applyFill="1" applyBorder="1"/>
    <xf numFmtId="0" fontId="1" fillId="2" borderId="5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0" fontId="4" fillId="2" borderId="4" xfId="0" applyFont="1" applyFill="1" applyBorder="1"/>
    <xf numFmtId="0" fontId="4" fillId="2" borderId="0" xfId="0" applyFont="1" applyFill="1" applyBorder="1"/>
    <xf numFmtId="0" fontId="14" fillId="2" borderId="4" xfId="0" applyFont="1" applyFill="1" applyBorder="1" applyAlignment="1">
      <alignment horizontal="right"/>
    </xf>
    <xf numFmtId="0" fontId="14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" fillId="2" borderId="5" xfId="0" applyFont="1" applyFill="1" applyBorder="1"/>
    <xf numFmtId="0" fontId="4" fillId="2" borderId="4" xfId="0" applyFont="1" applyFill="1" applyBorder="1" applyAlignment="1">
      <alignment horizontal="right"/>
    </xf>
    <xf numFmtId="11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right"/>
    </xf>
    <xf numFmtId="0" fontId="8" fillId="2" borderId="0" xfId="0" applyFont="1" applyFill="1" applyBorder="1"/>
    <xf numFmtId="0" fontId="10" fillId="2" borderId="4" xfId="0" applyFont="1" applyFill="1" applyBorder="1"/>
    <xf numFmtId="0" fontId="9" fillId="2" borderId="4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 applyAlignment="1">
      <alignment horizontal="right"/>
    </xf>
    <xf numFmtId="0" fontId="15" fillId="2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11" fontId="1" fillId="2" borderId="0" xfId="0" applyNumberFormat="1" applyFont="1" applyFill="1" applyBorder="1" applyAlignment="1">
      <alignment horizontal="left"/>
    </xf>
    <xf numFmtId="0" fontId="16" fillId="2" borderId="4" xfId="0" applyFont="1" applyFill="1" applyBorder="1"/>
    <xf numFmtId="0" fontId="17" fillId="2" borderId="0" xfId="0" applyFont="1" applyFill="1" applyBorder="1" applyAlignment="1">
      <alignment horizontal="right"/>
    </xf>
    <xf numFmtId="11" fontId="17" fillId="2" borderId="0" xfId="0" applyNumberFormat="1" applyFont="1" applyFill="1" applyBorder="1" applyAlignment="1">
      <alignment horizontal="left"/>
    </xf>
    <xf numFmtId="0" fontId="16" fillId="2" borderId="0" xfId="0" applyFont="1" applyFill="1" applyBorder="1"/>
    <xf numFmtId="0" fontId="16" fillId="2" borderId="0" xfId="0" applyFont="1" applyFill="1" applyBorder="1" applyAlignment="1">
      <alignment horizontal="right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8" fillId="2" borderId="0" xfId="0" applyFont="1" applyFill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0" fillId="0" borderId="0" xfId="0" applyFont="1" applyAlignment="1">
      <alignment vertical="center"/>
    </xf>
    <xf numFmtId="0" fontId="19" fillId="0" borderId="15" xfId="0" applyFont="1" applyBorder="1" applyAlignment="1">
      <alignment vertical="center"/>
    </xf>
    <xf numFmtId="0" fontId="0" fillId="0" borderId="0" xfId="0" applyFont="1" applyFill="1" applyBorder="1"/>
    <xf numFmtId="0" fontId="19" fillId="0" borderId="0" xfId="0" applyFont="1" applyBorder="1" applyAlignment="1">
      <alignment horizontal="left"/>
    </xf>
    <xf numFmtId="0" fontId="19" fillId="0" borderId="17" xfId="0" applyFont="1" applyBorder="1" applyAlignment="1">
      <alignment horizontal="left" vertical="top"/>
    </xf>
    <xf numFmtId="0" fontId="19" fillId="0" borderId="18" xfId="0" applyFont="1" applyBorder="1" applyAlignment="1">
      <alignment horizontal="left" vertical="top"/>
    </xf>
    <xf numFmtId="0" fontId="19" fillId="0" borderId="19" xfId="0" applyFont="1" applyBorder="1" applyAlignment="1">
      <alignment horizontal="left" vertical="top"/>
    </xf>
    <xf numFmtId="0" fontId="23" fillId="0" borderId="20" xfId="0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23" fillId="0" borderId="21" xfId="0" applyFont="1" applyBorder="1" applyAlignment="1">
      <alignment horizontal="left"/>
    </xf>
    <xf numFmtId="0" fontId="23" fillId="0" borderId="22" xfId="0" applyFont="1" applyBorder="1" applyAlignment="1">
      <alignment horizontal="left"/>
    </xf>
    <xf numFmtId="0" fontId="23" fillId="0" borderId="23" xfId="0" applyFont="1" applyBorder="1" applyAlignment="1">
      <alignment horizontal="left"/>
    </xf>
    <xf numFmtId="0" fontId="23" fillId="0" borderId="24" xfId="0" applyFont="1" applyBorder="1" applyAlignment="1">
      <alignment horizontal="left"/>
    </xf>
    <xf numFmtId="0" fontId="19" fillId="0" borderId="17" xfId="0" applyFont="1" applyBorder="1" applyAlignment="1">
      <alignment horizontal="left"/>
    </xf>
    <xf numFmtId="0" fontId="19" fillId="0" borderId="18" xfId="0" applyFont="1" applyBorder="1" applyAlignment="1">
      <alignment horizontal="left"/>
    </xf>
    <xf numFmtId="0" fontId="19" fillId="0" borderId="19" xfId="0" applyFont="1" applyBorder="1" applyAlignment="1">
      <alignment horizontal="left"/>
    </xf>
    <xf numFmtId="0" fontId="22" fillId="0" borderId="22" xfId="0" applyFont="1" applyBorder="1" applyAlignment="1">
      <alignment horizontal="left"/>
    </xf>
    <xf numFmtId="0" fontId="22" fillId="0" borderId="23" xfId="0" applyFont="1" applyBorder="1" applyAlignment="1">
      <alignment horizontal="left"/>
    </xf>
    <xf numFmtId="0" fontId="22" fillId="0" borderId="24" xfId="0" applyFont="1" applyBorder="1" applyAlignment="1">
      <alignment horizontal="left"/>
    </xf>
    <xf numFmtId="14" fontId="1" fillId="0" borderId="22" xfId="0" applyNumberFormat="1" applyFont="1" applyBorder="1" applyAlignment="1">
      <alignment horizontal="left"/>
    </xf>
    <xf numFmtId="14" fontId="1" fillId="0" borderId="23" xfId="0" applyNumberFormat="1" applyFont="1" applyBorder="1" applyAlignment="1">
      <alignment horizontal="left"/>
    </xf>
    <xf numFmtId="14" fontId="1" fillId="0" borderId="24" xfId="0" applyNumberFormat="1" applyFont="1" applyBorder="1" applyAlignment="1">
      <alignment horizontal="left"/>
    </xf>
    <xf numFmtId="0" fontId="0" fillId="0" borderId="0" xfId="0" applyFont="1"/>
    <xf numFmtId="0" fontId="12" fillId="0" borderId="0" xfId="0" applyFont="1" applyAlignment="1">
      <alignment horizontal="left"/>
    </xf>
  </cellXfs>
  <cellStyles count="7">
    <cellStyle name="Besuchter Link" xfId="2" builtinId="9" hidden="1"/>
    <cellStyle name="Besuchter Link" xfId="4" builtinId="9" hidden="1"/>
    <cellStyle name="Besuchter Link" xfId="6" builtinId="9" hidden="1"/>
    <cellStyle name="Link" xfId="1" builtinId="8" hidden="1"/>
    <cellStyle name="Link" xfId="3" builtinId="8" hidden="1"/>
    <cellStyle name="Link" xfId="5" builtinId="8" hidden="1"/>
    <cellStyle name="Standard" xfId="0" builtinId="0"/>
  </cellStyles>
  <dxfs count="3">
    <dxf>
      <font>
        <color theme="0" tint="-0.14999847407452621"/>
      </font>
      <fill>
        <patternFill patternType="solid">
          <fgColor indexed="64"/>
          <bgColor theme="1"/>
        </patternFill>
      </fill>
    </dxf>
    <dxf>
      <font>
        <color rgb="FFC00000"/>
      </font>
      <fill>
        <patternFill patternType="solid">
          <bgColor theme="0" tint="-4.9989318521683403E-2"/>
        </patternFill>
      </fill>
    </dxf>
    <dxf>
      <font>
        <b val="0"/>
        <i val="0"/>
        <strike val="0"/>
        <color rgb="FFC00000"/>
      </font>
      <fill>
        <patternFill patternType="solid">
          <bgColor theme="0" tint="-4.9989318521683403E-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897674</xdr:colOff>
      <xdr:row>7</xdr:row>
      <xdr:rowOff>171361</xdr:rowOff>
    </xdr:from>
    <xdr:to>
      <xdr:col>16</xdr:col>
      <xdr:colOff>793542</xdr:colOff>
      <xdr:row>10</xdr:row>
      <xdr:rowOff>137525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0913" y="1595970"/>
          <a:ext cx="2239846" cy="844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57"/>
  <sheetViews>
    <sheetView tabSelected="1" zoomScale="115" zoomScaleNormal="115" zoomScalePageLayoutView="115" workbookViewId="0">
      <selection activeCell="G8" sqref="G8"/>
    </sheetView>
  </sheetViews>
  <sheetFormatPr baseColWidth="10" defaultRowHeight="13" x14ac:dyDescent="0"/>
  <cols>
    <col min="1" max="1" width="4.42578125" style="2" customWidth="1"/>
    <col min="2" max="10" width="3" style="2" customWidth="1"/>
    <col min="11" max="11" width="2.42578125" style="2" customWidth="1"/>
    <col min="12" max="12" width="26.140625" style="2" customWidth="1"/>
    <col min="13" max="13" width="6.42578125" style="2" customWidth="1"/>
    <col min="14" max="14" width="11.5703125" style="2" customWidth="1"/>
    <col min="15" max="15" width="11.85546875" style="2" customWidth="1"/>
    <col min="16" max="16" width="18.85546875" style="2" customWidth="1"/>
    <col min="17" max="17" width="12.5703125" style="1" customWidth="1"/>
    <col min="18" max="18" width="13.7109375" style="2" customWidth="1"/>
    <col min="19" max="20" width="11.85546875" style="2" bestFit="1" customWidth="1"/>
    <col min="21" max="21" width="17" style="2" bestFit="1" customWidth="1"/>
    <col min="22" max="22" width="16" style="2" bestFit="1" customWidth="1"/>
    <col min="23" max="23" width="23.28515625" style="2" bestFit="1" customWidth="1"/>
    <col min="24" max="16384" width="10.7109375" style="2"/>
  </cols>
  <sheetData>
    <row r="1" spans="2:27" ht="15" customHeight="1" thickBot="1"/>
    <row r="2" spans="2:27" ht="14" thickTop="1">
      <c r="L2" s="5"/>
      <c r="M2" s="6"/>
      <c r="N2" s="6"/>
      <c r="O2" s="6"/>
      <c r="P2" s="6"/>
      <c r="Q2" s="7"/>
    </row>
    <row r="3" spans="2:27" ht="30" customHeight="1">
      <c r="L3" s="8"/>
      <c r="M3" s="9" t="s">
        <v>31</v>
      </c>
      <c r="N3" s="10"/>
      <c r="O3" s="10"/>
      <c r="P3" s="10"/>
      <c r="Q3" s="11"/>
      <c r="S3" s="86"/>
    </row>
    <row r="4" spans="2:27">
      <c r="L4" s="8"/>
      <c r="M4" s="10" t="s">
        <v>26</v>
      </c>
      <c r="N4" s="10"/>
      <c r="O4" s="10"/>
      <c r="P4" s="10"/>
      <c r="Q4" s="11"/>
    </row>
    <row r="5" spans="2:27">
      <c r="L5" s="8"/>
      <c r="M5" s="4"/>
      <c r="N5" s="10"/>
      <c r="O5" s="10"/>
      <c r="P5" s="10"/>
      <c r="Q5" s="11"/>
    </row>
    <row r="6" spans="2:27" ht="14">
      <c r="L6" s="8"/>
      <c r="M6" s="41" t="s">
        <v>12</v>
      </c>
      <c r="N6" s="10"/>
      <c r="O6" s="10"/>
      <c r="P6" s="10"/>
      <c r="Q6" s="11"/>
    </row>
    <row r="7" spans="2:27">
      <c r="L7" s="8"/>
      <c r="M7" s="10"/>
      <c r="N7" s="10"/>
      <c r="O7" s="10"/>
      <c r="P7" s="10"/>
      <c r="Q7" s="11"/>
    </row>
    <row r="8" spans="2:27" ht="22.5" customHeight="1">
      <c r="L8" s="12" t="s">
        <v>9</v>
      </c>
      <c r="M8" s="13"/>
      <c r="N8" s="14">
        <v>200</v>
      </c>
      <c r="O8" s="15" t="s">
        <v>19</v>
      </c>
      <c r="P8" s="10"/>
      <c r="Q8" s="11"/>
    </row>
    <row r="9" spans="2:27" ht="22.5" customHeight="1">
      <c r="L9" s="12" t="s">
        <v>10</v>
      </c>
      <c r="M9" s="13"/>
      <c r="N9" s="14">
        <v>6</v>
      </c>
      <c r="O9" s="13"/>
      <c r="P9" s="10"/>
      <c r="Q9" s="11"/>
    </row>
    <row r="10" spans="2:27" ht="23.25" customHeight="1">
      <c r="L10" s="12" t="s">
        <v>8</v>
      </c>
      <c r="M10" s="13"/>
      <c r="N10" s="14">
        <v>10</v>
      </c>
      <c r="O10" s="13"/>
      <c r="Q10" s="11"/>
    </row>
    <row r="11" spans="2:27" ht="22.5" customHeight="1">
      <c r="C11" s="67" t="s">
        <v>32</v>
      </c>
      <c r="D11" s="67"/>
      <c r="E11" s="67"/>
      <c r="F11" s="67"/>
      <c r="G11" s="67"/>
      <c r="H11" s="67"/>
      <c r="I11" s="67"/>
      <c r="J11" s="67"/>
      <c r="L11" s="12" t="s">
        <v>13</v>
      </c>
      <c r="M11" s="16" t="s">
        <v>14</v>
      </c>
      <c r="N11" s="17">
        <v>10</v>
      </c>
      <c r="O11" s="13"/>
      <c r="P11" s="54" t="s">
        <v>30</v>
      </c>
      <c r="Q11" s="11"/>
      <c r="R11" s="3"/>
      <c r="S11" s="51"/>
      <c r="T11" s="51"/>
      <c r="U11" s="3"/>
      <c r="V11" s="3"/>
      <c r="W11" s="3"/>
      <c r="X11" s="3"/>
      <c r="Y11" s="3"/>
      <c r="Z11" s="3"/>
      <c r="AA11" s="3"/>
    </row>
    <row r="12" spans="2:27">
      <c r="L12" s="8"/>
      <c r="M12" s="10"/>
      <c r="N12" s="10"/>
      <c r="O12" s="10"/>
      <c r="P12" s="10"/>
      <c r="Q12" s="11"/>
      <c r="R12" s="3"/>
      <c r="S12" s="51"/>
      <c r="T12" s="51"/>
      <c r="U12" s="3"/>
      <c r="V12" s="3"/>
      <c r="W12" s="3"/>
      <c r="X12" s="3"/>
      <c r="Y12" s="3"/>
      <c r="Z12" s="3"/>
      <c r="AA12" s="3"/>
    </row>
    <row r="13" spans="2:27" ht="17" thickBot="1">
      <c r="B13" s="64"/>
      <c r="C13" s="65" t="s">
        <v>33</v>
      </c>
      <c r="D13" s="65" t="s">
        <v>34</v>
      </c>
      <c r="E13" s="65" t="s">
        <v>35</v>
      </c>
      <c r="F13" s="65" t="s">
        <v>36</v>
      </c>
      <c r="G13" s="65" t="s">
        <v>37</v>
      </c>
      <c r="H13" s="65" t="s">
        <v>38</v>
      </c>
      <c r="I13" s="65" t="s">
        <v>39</v>
      </c>
      <c r="J13" s="65" t="s">
        <v>40</v>
      </c>
      <c r="L13" s="18" t="s">
        <v>15</v>
      </c>
      <c r="M13" s="10"/>
      <c r="N13" s="19" t="s">
        <v>5</v>
      </c>
      <c r="O13" s="19" t="s">
        <v>6</v>
      </c>
      <c r="P13" s="19" t="s">
        <v>11</v>
      </c>
      <c r="Q13" s="11"/>
      <c r="R13" s="3"/>
      <c r="S13" s="52" t="s">
        <v>1</v>
      </c>
      <c r="T13" s="51" t="s">
        <v>0</v>
      </c>
      <c r="U13" s="3" t="s">
        <v>2</v>
      </c>
      <c r="V13" s="3"/>
      <c r="W13" s="3" t="s">
        <v>16</v>
      </c>
      <c r="X13" s="3" t="s">
        <v>18</v>
      </c>
      <c r="Y13" s="3" t="s">
        <v>17</v>
      </c>
      <c r="Z13" s="3"/>
      <c r="AA13" s="3"/>
    </row>
    <row r="14" spans="2:27" ht="16">
      <c r="B14" s="2">
        <v>1</v>
      </c>
      <c r="C14" s="55">
        <v>1</v>
      </c>
      <c r="D14" s="56">
        <v>1</v>
      </c>
      <c r="E14" s="56">
        <v>1</v>
      </c>
      <c r="F14" s="56">
        <v>1</v>
      </c>
      <c r="G14" s="56">
        <v>1</v>
      </c>
      <c r="H14" s="56">
        <v>1</v>
      </c>
      <c r="I14" s="56"/>
      <c r="J14" s="57"/>
      <c r="L14" s="20" t="str">
        <f>"1:"&amp;N11</f>
        <v>1:10</v>
      </c>
      <c r="M14" s="10"/>
      <c r="N14" s="21">
        <f>IF(COUNTIF(C14:J14,"&gt;0")&gt;$N$9,"!!!",COUNTIF(C14:J14,"&gt;0"))</f>
        <v>6</v>
      </c>
      <c r="O14" s="22">
        <f t="shared" ref="O14:O23" si="0">$N$9-N14</f>
        <v>0</v>
      </c>
      <c r="P14" s="23">
        <f>LOG(1/N11,10)</f>
        <v>-0.99999999999999978</v>
      </c>
      <c r="Q14" s="11"/>
      <c r="R14" s="3"/>
      <c r="S14" s="52">
        <f t="shared" ref="S14:S22" si="1">IF(AND(T14=1,T15&lt;1),1*P14,"")</f>
        <v>-0.99999999999999978</v>
      </c>
      <c r="T14" s="51">
        <f t="shared" ref="T14:T23" si="2">N14/$N$9</f>
        <v>1</v>
      </c>
      <c r="U14" s="3">
        <f>T14</f>
        <v>1</v>
      </c>
      <c r="V14" s="3">
        <f t="shared" ref="V14:V23" si="3">IF(U14="","",U14*(1-U14)/($N$9-1))</f>
        <v>0</v>
      </c>
      <c r="W14" s="3" t="str">
        <f>IF(N14=$N$9,"YES","NO")</f>
        <v>YES</v>
      </c>
      <c r="X14" s="3" t="str">
        <f>IF(N23=0,"YES","NO")</f>
        <v>YES</v>
      </c>
      <c r="Y14" s="3" t="str">
        <f>IF(N14=N9,"YES","NO")</f>
        <v>YES</v>
      </c>
      <c r="Z14" s="3"/>
      <c r="AA14" s="3"/>
    </row>
    <row r="15" spans="2:27" ht="16">
      <c r="B15" s="2">
        <v>2</v>
      </c>
      <c r="C15" s="58"/>
      <c r="D15" s="59"/>
      <c r="E15" s="59"/>
      <c r="F15" s="66"/>
      <c r="G15" s="66"/>
      <c r="H15" s="59"/>
      <c r="I15" s="59"/>
      <c r="J15" s="60"/>
      <c r="L15" s="20" t="str">
        <f>"1:"&amp;$N$11*$N$10^1</f>
        <v>1:100</v>
      </c>
      <c r="M15" s="10"/>
      <c r="N15" s="21">
        <f>IF(COUNTIF(C15:J15,"&gt;0")&gt;$N$9,"!!!",COUNTIF(C15:J15,"&gt;0"))</f>
        <v>0</v>
      </c>
      <c r="O15" s="22">
        <f t="shared" si="0"/>
        <v>6</v>
      </c>
      <c r="P15" s="23">
        <f>ROUND(LOG(1/$N$11,10)-1*LOG($N$10,10),2)</f>
        <v>-2</v>
      </c>
      <c r="Q15" s="11"/>
      <c r="R15" s="3"/>
      <c r="S15" s="53" t="str">
        <f t="shared" si="1"/>
        <v/>
      </c>
      <c r="T15" s="51">
        <f t="shared" si="2"/>
        <v>0</v>
      </c>
      <c r="U15" s="3">
        <f>IF(COUNTIF(T14,"="&amp;T15)=0,T15,"")</f>
        <v>0</v>
      </c>
      <c r="V15" s="3">
        <f t="shared" si="3"/>
        <v>0</v>
      </c>
      <c r="W15" s="3" t="str">
        <f t="shared" ref="W15" si="4">IF(OR(AND(N15=$N$9,N14=$N$9),N15&lt;N14,N15=0),"YES","NO")</f>
        <v>YES</v>
      </c>
      <c r="X15" s="3"/>
      <c r="Y15" s="3"/>
      <c r="Z15" s="3"/>
      <c r="AA15" s="3"/>
    </row>
    <row r="16" spans="2:27" ht="16">
      <c r="B16" s="2">
        <v>3</v>
      </c>
      <c r="C16" s="58"/>
      <c r="D16" s="59"/>
      <c r="E16" s="59"/>
      <c r="F16" s="59"/>
      <c r="G16" s="59"/>
      <c r="H16" s="59"/>
      <c r="I16" s="59"/>
      <c r="J16" s="60"/>
      <c r="L16" s="20" t="str">
        <f>"1:"&amp;$N$11*$N$10^2</f>
        <v>1:1000</v>
      </c>
      <c r="M16" s="10"/>
      <c r="N16" s="21">
        <f>IF(COUNTIF(C16:J16,"&gt;0")&gt;$N$9,"!!!",COUNTIF(C16:J16,"&gt;0"))</f>
        <v>0</v>
      </c>
      <c r="O16" s="22">
        <f t="shared" si="0"/>
        <v>6</v>
      </c>
      <c r="P16" s="23">
        <f>ROUND(LOG(1/$N$11,10)-2*LOG($N$10,10),2)</f>
        <v>-3</v>
      </c>
      <c r="Q16" s="11"/>
      <c r="R16" s="3"/>
      <c r="S16" s="53" t="str">
        <f t="shared" si="1"/>
        <v/>
      </c>
      <c r="T16" s="51">
        <f t="shared" si="2"/>
        <v>0</v>
      </c>
      <c r="U16" s="3" t="str">
        <f>IF(COUNTIF(T14:T15,"="&amp;T16)=0,T16,"")</f>
        <v/>
      </c>
      <c r="V16" s="3" t="str">
        <f t="shared" si="3"/>
        <v/>
      </c>
      <c r="W16" s="3" t="str">
        <f>IF(OR(AND(N16=$N$9,N15=$N$9),N16&lt;N15,N16=0),"YES","NO")</f>
        <v>YES</v>
      </c>
      <c r="X16" s="3"/>
      <c r="Y16" s="3"/>
      <c r="Z16" s="3"/>
      <c r="AA16" s="3"/>
    </row>
    <row r="17" spans="2:27" ht="16">
      <c r="B17" s="66">
        <v>4</v>
      </c>
      <c r="C17" s="58"/>
      <c r="D17" s="59"/>
      <c r="E17" s="66"/>
      <c r="F17" s="66"/>
      <c r="G17" s="66"/>
      <c r="H17" s="66"/>
      <c r="I17" s="66"/>
      <c r="J17" s="60"/>
      <c r="L17" s="20" t="str">
        <f>"1:"&amp;$N$11*$N$10^3</f>
        <v>1:10000</v>
      </c>
      <c r="M17" s="10"/>
      <c r="N17" s="21">
        <f>IF(COUNTIF(C17:J17,"&gt;0")&gt;$N$9,"!!!",COUNTIF(C17:J17,"&gt;0"))</f>
        <v>0</v>
      </c>
      <c r="O17" s="22">
        <f t="shared" si="0"/>
        <v>6</v>
      </c>
      <c r="P17" s="23">
        <f>ROUND(LOG(1/$N$11,10)-3*LOG($N$10,10),2)</f>
        <v>-4</v>
      </c>
      <c r="Q17" s="11"/>
      <c r="R17" s="3"/>
      <c r="S17" s="53" t="str">
        <f t="shared" si="1"/>
        <v/>
      </c>
      <c r="T17" s="51">
        <f t="shared" si="2"/>
        <v>0</v>
      </c>
      <c r="U17" s="3" t="str">
        <f>IF(COUNTIF(T14:T16,"="&amp;T17)=0,T17,"")</f>
        <v/>
      </c>
      <c r="V17" s="3" t="str">
        <f t="shared" si="3"/>
        <v/>
      </c>
      <c r="W17" s="3" t="str">
        <f t="shared" ref="W17:W23" si="5">IF(OR(AND(N17=$N$9,N16=$N$9),N17&lt;N16,N17=0),"YES","NO")</f>
        <v>YES</v>
      </c>
      <c r="X17" s="3"/>
      <c r="Y17" s="3"/>
      <c r="Z17" s="3"/>
      <c r="AA17" s="3"/>
    </row>
    <row r="18" spans="2:27" ht="16">
      <c r="B18" s="66">
        <v>5</v>
      </c>
      <c r="C18" s="58"/>
      <c r="D18" s="59"/>
      <c r="E18" s="59"/>
      <c r="F18" s="59"/>
      <c r="G18" s="59"/>
      <c r="H18" s="59"/>
      <c r="I18" s="59"/>
      <c r="J18" s="60"/>
      <c r="L18" s="20" t="str">
        <f>"1:"&amp;$N$11*$N$10^4</f>
        <v>1:100000</v>
      </c>
      <c r="M18" s="10"/>
      <c r="N18" s="21">
        <f>IF(COUNTIF(C18:J18,"&gt;0")&gt;$N$9,"!!!",COUNTIF(C18:J18,"&gt;0"))</f>
        <v>0</v>
      </c>
      <c r="O18" s="22">
        <f t="shared" si="0"/>
        <v>6</v>
      </c>
      <c r="P18" s="23">
        <f>ROUND(LOG(1/$N$11,10)-4*LOG($N$10,10),2)</f>
        <v>-5</v>
      </c>
      <c r="Q18" s="11"/>
      <c r="R18" s="3"/>
      <c r="S18" s="53" t="str">
        <f t="shared" si="1"/>
        <v/>
      </c>
      <c r="T18" s="51">
        <f t="shared" si="2"/>
        <v>0</v>
      </c>
      <c r="U18" s="3" t="str">
        <f>IF(COUNTIF(T14:T17,"="&amp;T18)=0,T18,"")</f>
        <v/>
      </c>
      <c r="V18" s="3" t="str">
        <f t="shared" si="3"/>
        <v/>
      </c>
      <c r="W18" s="3" t="str">
        <f t="shared" si="5"/>
        <v>YES</v>
      </c>
      <c r="X18" s="3"/>
      <c r="Y18" s="3"/>
      <c r="Z18" s="3"/>
      <c r="AA18" s="3"/>
    </row>
    <row r="19" spans="2:27" ht="16">
      <c r="B19" s="66">
        <v>6</v>
      </c>
      <c r="C19" s="58"/>
      <c r="D19" s="59"/>
      <c r="E19" s="59"/>
      <c r="F19" s="59"/>
      <c r="G19" s="59"/>
      <c r="H19" s="59"/>
      <c r="I19" s="59"/>
      <c r="J19" s="60"/>
      <c r="L19" s="20" t="str">
        <f>"1:"&amp;$N$11*$N$10^5</f>
        <v>1:1000000</v>
      </c>
      <c r="M19" s="10"/>
      <c r="N19" s="21">
        <f>IF(COUNTIF(C19:J19,"&gt;0")&gt;$N$9,"!!!",COUNTIF(C19:J19,"&gt;0"))</f>
        <v>0</v>
      </c>
      <c r="O19" s="22">
        <f t="shared" si="0"/>
        <v>6</v>
      </c>
      <c r="P19" s="23">
        <f>ROUND(LOG(1/$N$11,10)-5*LOG($N$10,10),2)</f>
        <v>-6</v>
      </c>
      <c r="Q19" s="11"/>
      <c r="R19" s="3"/>
      <c r="S19" s="53" t="str">
        <f t="shared" si="1"/>
        <v/>
      </c>
      <c r="T19" s="51">
        <f t="shared" si="2"/>
        <v>0</v>
      </c>
      <c r="U19" s="3" t="str">
        <f>IF(COUNTIF(T14:T18,"="&amp;T19)=0,T19,"")</f>
        <v/>
      </c>
      <c r="V19" s="3" t="str">
        <f t="shared" si="3"/>
        <v/>
      </c>
      <c r="W19" s="3" t="str">
        <f t="shared" si="5"/>
        <v>YES</v>
      </c>
      <c r="X19" s="3"/>
      <c r="Y19" s="3"/>
      <c r="Z19" s="3"/>
      <c r="AA19" s="3"/>
    </row>
    <row r="20" spans="2:27" ht="16">
      <c r="B20" s="66">
        <v>7</v>
      </c>
      <c r="C20" s="58"/>
      <c r="D20" s="59"/>
      <c r="E20" s="59"/>
      <c r="F20" s="59"/>
      <c r="G20" s="59"/>
      <c r="H20" s="59"/>
      <c r="I20" s="59"/>
      <c r="J20" s="60"/>
      <c r="L20" s="20" t="str">
        <f>"1:"&amp;$N$11*$N$10^6</f>
        <v>1:10000000</v>
      </c>
      <c r="M20" s="10"/>
      <c r="N20" s="21">
        <f>IF(COUNTIF(C20:J20,"&gt;0")&gt;$N$9,"!!!",COUNTIF(C20:J20,"&gt;0"))</f>
        <v>0</v>
      </c>
      <c r="O20" s="22">
        <f t="shared" si="0"/>
        <v>6</v>
      </c>
      <c r="P20" s="23">
        <f>ROUND(LOG(1/$N$11,10)-6*LOG($N$10,10),2)</f>
        <v>-7</v>
      </c>
      <c r="Q20" s="11"/>
      <c r="R20" s="3"/>
      <c r="S20" s="53" t="str">
        <f t="shared" si="1"/>
        <v/>
      </c>
      <c r="T20" s="51">
        <f t="shared" si="2"/>
        <v>0</v>
      </c>
      <c r="U20" s="3" t="str">
        <f>IF(COUNTIF(T14:T19,"="&amp;T20)=0,T20,"")</f>
        <v/>
      </c>
      <c r="V20" s="3" t="str">
        <f t="shared" si="3"/>
        <v/>
      </c>
      <c r="W20" s="3" t="str">
        <f t="shared" si="5"/>
        <v>YES</v>
      </c>
      <c r="X20" s="3"/>
      <c r="Y20" s="3"/>
      <c r="Z20" s="3"/>
      <c r="AA20" s="3"/>
    </row>
    <row r="21" spans="2:27" ht="16">
      <c r="B21" s="66">
        <v>8</v>
      </c>
      <c r="C21" s="58"/>
      <c r="D21" s="59"/>
      <c r="E21" s="59"/>
      <c r="F21" s="59"/>
      <c r="G21" s="59"/>
      <c r="H21" s="59"/>
      <c r="I21" s="59"/>
      <c r="J21" s="60"/>
      <c r="L21" s="20" t="str">
        <f>"1:"&amp;$N$11*$N$10^7</f>
        <v>1:100000000</v>
      </c>
      <c r="M21" s="10"/>
      <c r="N21" s="21">
        <f>IF(COUNTIF(C21:J21,"&gt;0")&gt;$N$9,"!!!",COUNTIF(C21:J21,"&gt;0"))</f>
        <v>0</v>
      </c>
      <c r="O21" s="22">
        <f t="shared" si="0"/>
        <v>6</v>
      </c>
      <c r="P21" s="23">
        <f>ROUND(LOG(1/$N$11,10)-7*LOG($N$10,10),2)</f>
        <v>-8</v>
      </c>
      <c r="Q21" s="11"/>
      <c r="R21" s="3"/>
      <c r="S21" s="53" t="str">
        <f t="shared" si="1"/>
        <v/>
      </c>
      <c r="T21" s="51">
        <f t="shared" si="2"/>
        <v>0</v>
      </c>
      <c r="U21" s="3" t="str">
        <f>IF(COUNTIF(T14:T20,"="&amp;T21)=0,T21,"")</f>
        <v/>
      </c>
      <c r="V21" s="3" t="str">
        <f t="shared" si="3"/>
        <v/>
      </c>
      <c r="W21" s="3" t="str">
        <f t="shared" si="5"/>
        <v>YES</v>
      </c>
      <c r="X21" s="3"/>
      <c r="Y21" s="3"/>
      <c r="Z21" s="3"/>
      <c r="AA21" s="3"/>
    </row>
    <row r="22" spans="2:27" ht="16">
      <c r="B22" s="66">
        <v>9</v>
      </c>
      <c r="C22" s="58"/>
      <c r="D22" s="59"/>
      <c r="E22" s="59"/>
      <c r="F22" s="59"/>
      <c r="G22" s="59"/>
      <c r="H22" s="59"/>
      <c r="I22" s="59"/>
      <c r="J22" s="60"/>
      <c r="L22" s="20" t="str">
        <f>"1:"&amp;$N$11*$N$10^8</f>
        <v>1:1000000000</v>
      </c>
      <c r="M22" s="10"/>
      <c r="N22" s="21">
        <f>IF(COUNTIF(C22:J22,"&gt;0")&gt;$N$9,"!!!",COUNTIF(C22:J22,"&gt;0"))</f>
        <v>0</v>
      </c>
      <c r="O22" s="22">
        <f t="shared" si="0"/>
        <v>6</v>
      </c>
      <c r="P22" s="23">
        <f>ROUND(LOG(1/$N$11,10)-8*LOG($N$10,10),2)</f>
        <v>-9</v>
      </c>
      <c r="Q22" s="11"/>
      <c r="R22" s="3"/>
      <c r="S22" s="53" t="str">
        <f t="shared" si="1"/>
        <v/>
      </c>
      <c r="T22" s="51">
        <f t="shared" si="2"/>
        <v>0</v>
      </c>
      <c r="U22" s="3" t="str">
        <f>IF(COUNTIF(T14:T21,"="&amp;T22)=0,T22,"")</f>
        <v/>
      </c>
      <c r="V22" s="3" t="str">
        <f t="shared" si="3"/>
        <v/>
      </c>
      <c r="W22" s="3" t="str">
        <f t="shared" si="5"/>
        <v>YES</v>
      </c>
      <c r="X22" s="3"/>
      <c r="Y22" s="3"/>
      <c r="Z22" s="3"/>
      <c r="AA22" s="3"/>
    </row>
    <row r="23" spans="2:27" ht="17" thickBot="1">
      <c r="B23" s="66">
        <v>10</v>
      </c>
      <c r="C23" s="61"/>
      <c r="D23" s="62"/>
      <c r="E23" s="62"/>
      <c r="F23" s="62"/>
      <c r="G23" s="62"/>
      <c r="H23" s="62"/>
      <c r="I23" s="62"/>
      <c r="J23" s="63"/>
      <c r="L23" s="20" t="str">
        <f>"1:"&amp;$N$11*$N$10^9</f>
        <v>1:10000000000</v>
      </c>
      <c r="M23" s="10"/>
      <c r="N23" s="21">
        <f>IF(COUNTIF(C23:J23,"&gt;0")&gt;$N$9,"!!!",COUNTIF(C23:J23,"&gt;0"))</f>
        <v>0</v>
      </c>
      <c r="O23" s="22">
        <f t="shared" si="0"/>
        <v>6</v>
      </c>
      <c r="P23" s="23">
        <f>ROUND(LOG(1/$N$11,10)-9*LOG($N$10,10),2)</f>
        <v>-10</v>
      </c>
      <c r="Q23" s="11"/>
      <c r="R23" s="3"/>
      <c r="S23" s="53" t="str">
        <f>IF(AND(T23=1,Q24&lt;1),1*P23,"")</f>
        <v/>
      </c>
      <c r="T23" s="51">
        <f t="shared" si="2"/>
        <v>0</v>
      </c>
      <c r="U23" s="3" t="str">
        <f>IF(COUNTIF(T14:T22,"="&amp;T23)=0,T23,"")</f>
        <v/>
      </c>
      <c r="V23" s="3" t="str">
        <f t="shared" si="3"/>
        <v/>
      </c>
      <c r="W23" s="3" t="str">
        <f t="shared" si="5"/>
        <v>YES</v>
      </c>
      <c r="X23" s="3"/>
      <c r="Y23" s="3"/>
      <c r="Z23" s="3"/>
      <c r="AA23" s="3"/>
    </row>
    <row r="24" spans="2:27" ht="16">
      <c r="L24" s="24"/>
      <c r="M24" s="25"/>
      <c r="N24" s="25"/>
      <c r="O24" s="25"/>
      <c r="P24" s="10"/>
      <c r="Q24" s="11"/>
      <c r="R24" s="3"/>
      <c r="S24" s="51"/>
      <c r="T24" s="51"/>
      <c r="U24" s="3"/>
      <c r="V24" s="3"/>
      <c r="W24" s="3"/>
      <c r="X24" s="3"/>
      <c r="Y24" s="3"/>
      <c r="Z24" s="3"/>
      <c r="AA24" s="3"/>
    </row>
    <row r="25" spans="2:27" ht="16">
      <c r="L25" s="26" t="s">
        <v>7</v>
      </c>
      <c r="M25" s="27" t="str">
        <f>"1E"&amp;SUM(S14:S23)</f>
        <v>1E-1</v>
      </c>
      <c r="N25" s="25"/>
      <c r="O25" s="25"/>
      <c r="P25" s="10"/>
      <c r="Q25" s="11"/>
      <c r="R25" s="3"/>
      <c r="S25" s="52" t="s">
        <v>1</v>
      </c>
      <c r="T25" s="51" t="s">
        <v>0</v>
      </c>
      <c r="U25" s="3" t="s">
        <v>2</v>
      </c>
      <c r="V25" s="3"/>
      <c r="W25" s="3"/>
      <c r="X25" s="3"/>
      <c r="Y25" s="3"/>
      <c r="Z25" s="3"/>
      <c r="AA25" s="3"/>
    </row>
    <row r="26" spans="2:27" ht="16">
      <c r="L26" s="24"/>
      <c r="M26" s="25"/>
      <c r="N26" s="25"/>
      <c r="O26" s="25"/>
      <c r="P26" s="10"/>
      <c r="Q26" s="11"/>
      <c r="R26" s="3"/>
      <c r="S26" s="52">
        <f>IF(AND(T26=1,T27&lt;1),1*P14,"")</f>
        <v>-0.99999999999999978</v>
      </c>
      <c r="T26" s="51">
        <f>N14/$N$9</f>
        <v>1</v>
      </c>
      <c r="U26" s="3">
        <f>T26</f>
        <v>1</v>
      </c>
      <c r="V26" s="3">
        <f>IF(U26="","",U26*(1-U26)/($N$9-1))</f>
        <v>0</v>
      </c>
      <c r="W26" s="3"/>
      <c r="X26" s="3"/>
      <c r="Y26" s="3"/>
      <c r="Z26" s="3"/>
      <c r="AA26" s="3"/>
    </row>
    <row r="27" spans="2:27" ht="16">
      <c r="B27" s="77" t="s">
        <v>46</v>
      </c>
      <c r="C27" s="78"/>
      <c r="D27" s="78"/>
      <c r="E27" s="78"/>
      <c r="F27" s="78"/>
      <c r="G27" s="78"/>
      <c r="H27" s="78"/>
      <c r="I27" s="78"/>
      <c r="J27" s="79"/>
      <c r="L27" s="46"/>
      <c r="M27" s="47" t="s">
        <v>27</v>
      </c>
      <c r="N27" s="48" t="str">
        <f>IF(X14="NO", "not all wells negative in highest dilution",IF(Y14="NO","not all wells positive in smallest dilution",IF(COUNTIF(W15:W23,"NO")&gt;0,"number of positive wells not decreasing with virus dilution",ROUND((3-LOG(N8,10)+(-1*(SUM(S14:S23)+LOG(N10,10)/2-LOG(N10,10)*SUM(U14:U23)))),2)&amp;" +/- "&amp;ROUND(SQRT(LOG(N10,10)^2*SUM(V14:V23)),2)&amp;" log10")))</f>
        <v>2,2 +/- 0 log10</v>
      </c>
      <c r="O27" s="49"/>
      <c r="P27" s="50"/>
      <c r="Q27" s="29"/>
      <c r="R27" s="3"/>
      <c r="S27" s="52"/>
      <c r="T27" s="51"/>
      <c r="U27" s="3"/>
      <c r="V27" s="3"/>
      <c r="W27" s="3"/>
      <c r="X27" s="3"/>
      <c r="Y27" s="3"/>
      <c r="Z27" s="3"/>
      <c r="AA27" s="3"/>
    </row>
    <row r="28" spans="2:27" ht="16">
      <c r="B28" s="83">
        <v>41293</v>
      </c>
      <c r="C28" s="84"/>
      <c r="D28" s="84"/>
      <c r="E28" s="84"/>
      <c r="F28" s="84"/>
      <c r="G28" s="84"/>
      <c r="H28" s="84"/>
      <c r="I28" s="84"/>
      <c r="J28" s="85"/>
      <c r="L28" s="8"/>
      <c r="M28" s="32" t="s">
        <v>27</v>
      </c>
      <c r="N28" s="31">
        <f>IF(X14="NO", "not all wells negative in highest dilution",IF(Y14="NO","not all wells positive in smallest dilution",IF(COUNTIF(W15:W23,"NO")&gt;0,"number of positive wells not decreasing with virus dilution",10^(3-LOG(N8,10)+(-1*(SUM(S14:S23)+LOG(N10,10)/2-LOG(N10,10)*SUM(U14:U23)))))))</f>
        <v>158.11388300841898</v>
      </c>
      <c r="O28" s="32"/>
      <c r="P28" s="33"/>
      <c r="Q28" s="29"/>
      <c r="R28" s="3"/>
      <c r="S28" s="52"/>
      <c r="T28" s="51"/>
      <c r="U28" s="3"/>
      <c r="V28" s="3"/>
      <c r="W28" s="3"/>
      <c r="X28" s="3"/>
      <c r="Y28" s="3"/>
      <c r="Z28" s="3"/>
      <c r="AA28" s="3"/>
    </row>
    <row r="29" spans="2:27" ht="16">
      <c r="L29" s="30"/>
      <c r="M29" s="28" t="s">
        <v>4</v>
      </c>
      <c r="N29" s="45">
        <f>IF(ISNUMBER(N28),10^((3-LOG(N8,10)+(-1*(SUM(S14:S23)+LOG(N10,10)/2-LOG(N10,10)*SUM(U14:U23))))+SQRT(LOG(N10,10)^2*SUM(V14:V23)))-10^((3-LOG(N8,10)+(-1*(SUM(S14:S23)+LOG(N10,10)/2-LOG(N10,10)*SUM(U14:U23))))),"n.d.")</f>
        <v>0</v>
      </c>
      <c r="O29" s="25"/>
      <c r="P29" s="28"/>
      <c r="Q29" s="29"/>
      <c r="R29" s="3"/>
      <c r="S29" s="52"/>
      <c r="T29" s="51"/>
      <c r="U29" s="3"/>
      <c r="V29" s="3"/>
      <c r="W29" s="3"/>
      <c r="X29" s="3"/>
      <c r="Y29" s="3"/>
      <c r="Z29" s="3"/>
      <c r="AA29" s="3"/>
    </row>
    <row r="30" spans="2:27">
      <c r="B30" s="77" t="s">
        <v>44</v>
      </c>
      <c r="C30" s="78"/>
      <c r="D30" s="78"/>
      <c r="E30" s="78"/>
      <c r="F30" s="78"/>
      <c r="G30" s="78"/>
      <c r="H30" s="78"/>
      <c r="I30" s="78"/>
      <c r="J30" s="79"/>
      <c r="L30" s="34"/>
      <c r="M30" s="28" t="s">
        <v>3</v>
      </c>
      <c r="N30" s="45">
        <f>IF(ISNUMBER(N28),10^((3-LOG(N8,10)+(-1*(SUM(S14:S23)+LOG(N10,10)/2-LOG(N10,10)*SUM(U14:U23)))))-10^((3-LOG(N8,10)+(-1*(SUM(S14:S23)+LOG(N10,10)/2-LOG(N10,10)*SUM(U14:U23))))-SQRT(LOG(N10,10)^2*SUM(V14:V23))),"n.d.")</f>
        <v>0</v>
      </c>
      <c r="O30" s="10"/>
      <c r="P30" s="28"/>
      <c r="Q30" s="29"/>
      <c r="S30" s="43"/>
      <c r="T30" s="42"/>
    </row>
    <row r="31" spans="2:27">
      <c r="B31" s="80" t="s">
        <v>45</v>
      </c>
      <c r="C31" s="81"/>
      <c r="D31" s="81"/>
      <c r="E31" s="81"/>
      <c r="F31" s="81"/>
      <c r="G31" s="81"/>
      <c r="H31" s="81"/>
      <c r="I31" s="81"/>
      <c r="J31" s="82"/>
      <c r="L31" s="34"/>
      <c r="M31" s="28" t="s">
        <v>29</v>
      </c>
      <c r="N31" s="45">
        <f>IF(ISNUMBER(N28),10^(3-LOG(N8,10)+(-1*(SUM(S26)+LOG(N11,10)/2-LOG(N11,10)*SUM(U26)))),"n.d.")</f>
        <v>158.11388300841898</v>
      </c>
      <c r="O31" s="10"/>
      <c r="P31" s="28"/>
      <c r="Q31" s="29"/>
      <c r="S31" s="43"/>
      <c r="T31" s="42"/>
    </row>
    <row r="32" spans="2:27">
      <c r="L32" s="34"/>
      <c r="M32" s="28"/>
      <c r="N32" s="33"/>
      <c r="O32" s="10"/>
      <c r="P32" s="28"/>
      <c r="Q32" s="29"/>
      <c r="S32" s="43"/>
      <c r="T32" s="42"/>
    </row>
    <row r="33" spans="2:20" ht="16">
      <c r="B33" s="68" t="s">
        <v>41</v>
      </c>
      <c r="C33" s="69"/>
      <c r="D33" s="69"/>
      <c r="E33" s="69"/>
      <c r="F33" s="69"/>
      <c r="G33" s="69"/>
      <c r="H33" s="69"/>
      <c r="I33" s="69"/>
      <c r="J33" s="70"/>
      <c r="L33" s="30"/>
      <c r="M33" s="30" t="s">
        <v>28</v>
      </c>
      <c r="N33" s="31">
        <f>IF(ISNUMBER(N28),N28*0.56,N28)</f>
        <v>88.543774484714632</v>
      </c>
      <c r="O33" s="35"/>
      <c r="P33" s="28"/>
      <c r="Q33" s="29"/>
      <c r="S33" s="44"/>
      <c r="T33" s="42"/>
    </row>
    <row r="34" spans="2:20">
      <c r="B34" s="71" t="str">
        <f>B31</f>
        <v>Teo Testcounter</v>
      </c>
      <c r="C34" s="72"/>
      <c r="D34" s="72"/>
      <c r="E34" s="72"/>
      <c r="F34" s="72"/>
      <c r="G34" s="72"/>
      <c r="H34" s="72"/>
      <c r="I34" s="72"/>
      <c r="J34" s="73"/>
      <c r="L34" s="8"/>
      <c r="M34" s="28" t="s">
        <v>4</v>
      </c>
      <c r="N34" s="45">
        <f>IF(ISNUMBER(N29),N29*0.56,N29)</f>
        <v>0</v>
      </c>
      <c r="O34" s="10"/>
      <c r="P34" s="28"/>
      <c r="Q34" s="29"/>
      <c r="S34" s="43"/>
      <c r="T34" s="42"/>
    </row>
    <row r="35" spans="2:20">
      <c r="B35" s="71"/>
      <c r="C35" s="72"/>
      <c r="D35" s="72"/>
      <c r="E35" s="72"/>
      <c r="F35" s="72"/>
      <c r="G35" s="72"/>
      <c r="H35" s="72"/>
      <c r="I35" s="72"/>
      <c r="J35" s="73"/>
      <c r="L35" s="8"/>
      <c r="M35" s="28" t="s">
        <v>3</v>
      </c>
      <c r="N35" s="45">
        <f>IF(ISNUMBER(N30),N30*0.56,N30)</f>
        <v>0</v>
      </c>
      <c r="O35" s="10"/>
      <c r="P35" s="28"/>
      <c r="Q35" s="29"/>
      <c r="S35" s="43"/>
      <c r="T35" s="42"/>
    </row>
    <row r="36" spans="2:20">
      <c r="B36" s="74"/>
      <c r="C36" s="75"/>
      <c r="D36" s="75"/>
      <c r="E36" s="75"/>
      <c r="F36" s="75"/>
      <c r="G36" s="75"/>
      <c r="H36" s="75"/>
      <c r="I36" s="75"/>
      <c r="J36" s="76"/>
      <c r="L36" s="8"/>
      <c r="M36" s="28" t="s">
        <v>29</v>
      </c>
      <c r="N36" s="45">
        <f>IF(ISNUMBER(N31),N31*0.56,N31)</f>
        <v>88.543774484714632</v>
      </c>
      <c r="O36" s="10"/>
      <c r="P36" s="28"/>
      <c r="Q36" s="29"/>
      <c r="S36" s="43"/>
      <c r="T36" s="42"/>
    </row>
    <row r="37" spans="2:20">
      <c r="L37" s="8"/>
      <c r="M37" s="10"/>
      <c r="N37" s="33"/>
      <c r="O37" s="10"/>
      <c r="P37" s="28"/>
      <c r="Q37" s="29"/>
    </row>
    <row r="38" spans="2:20">
      <c r="B38" s="77" t="s">
        <v>42</v>
      </c>
      <c r="C38" s="78"/>
      <c r="D38" s="78"/>
      <c r="E38" s="78"/>
      <c r="F38" s="78"/>
      <c r="G38" s="78"/>
      <c r="H38" s="78"/>
      <c r="I38" s="78"/>
      <c r="J38" s="79"/>
      <c r="L38" s="36" t="s">
        <v>21</v>
      </c>
      <c r="M38" s="10"/>
      <c r="N38" s="10"/>
      <c r="O38" s="10"/>
      <c r="P38" s="10"/>
      <c r="Q38" s="11"/>
    </row>
    <row r="39" spans="2:20">
      <c r="B39" s="80" t="s">
        <v>43</v>
      </c>
      <c r="C39" s="81"/>
      <c r="D39" s="81"/>
      <c r="E39" s="81"/>
      <c r="F39" s="81"/>
      <c r="G39" s="81"/>
      <c r="H39" s="81"/>
      <c r="I39" s="81"/>
      <c r="J39" s="82"/>
      <c r="L39" s="37" t="s">
        <v>20</v>
      </c>
      <c r="M39" s="10"/>
      <c r="N39" s="10"/>
      <c r="O39" s="10"/>
      <c r="P39" s="10"/>
      <c r="Q39" s="11"/>
    </row>
    <row r="40" spans="2:20">
      <c r="L40" s="37" t="s">
        <v>22</v>
      </c>
      <c r="M40" s="10"/>
      <c r="N40" s="10"/>
      <c r="O40" s="10"/>
      <c r="P40" s="10"/>
      <c r="Q40" s="11"/>
    </row>
    <row r="41" spans="2:20">
      <c r="B41" s="68" t="s">
        <v>41</v>
      </c>
      <c r="C41" s="69"/>
      <c r="D41" s="69"/>
      <c r="E41" s="69"/>
      <c r="F41" s="69"/>
      <c r="G41" s="69"/>
      <c r="H41" s="69"/>
      <c r="I41" s="69"/>
      <c r="J41" s="70"/>
      <c r="L41" s="37" t="s">
        <v>23</v>
      </c>
      <c r="M41" s="10"/>
      <c r="N41" s="10"/>
      <c r="O41" s="10"/>
      <c r="P41" s="10"/>
      <c r="Q41" s="11"/>
    </row>
    <row r="42" spans="2:20">
      <c r="B42" s="71" t="str">
        <f>B39</f>
        <v>Carla Counterchecker</v>
      </c>
      <c r="C42" s="72"/>
      <c r="D42" s="72"/>
      <c r="E42" s="72"/>
      <c r="F42" s="72"/>
      <c r="G42" s="72"/>
      <c r="H42" s="72"/>
      <c r="I42" s="72"/>
      <c r="J42" s="73"/>
      <c r="L42" s="37" t="s">
        <v>24</v>
      </c>
      <c r="M42" s="10"/>
      <c r="N42" s="10"/>
      <c r="O42" s="10"/>
      <c r="P42" s="10"/>
      <c r="Q42" s="11"/>
    </row>
    <row r="43" spans="2:20">
      <c r="B43" s="71"/>
      <c r="C43" s="72"/>
      <c r="D43" s="72"/>
      <c r="E43" s="72"/>
      <c r="F43" s="72"/>
      <c r="G43" s="72"/>
      <c r="H43" s="72"/>
      <c r="I43" s="72"/>
      <c r="J43" s="73"/>
      <c r="L43" s="37" t="s">
        <v>25</v>
      </c>
      <c r="M43" s="10"/>
      <c r="N43" s="10"/>
      <c r="O43" s="10"/>
      <c r="P43" s="10"/>
      <c r="Q43" s="11"/>
    </row>
    <row r="44" spans="2:20" ht="14" thickBot="1">
      <c r="B44" s="74"/>
      <c r="C44" s="75"/>
      <c r="D44" s="75"/>
      <c r="E44" s="75"/>
      <c r="F44" s="75"/>
      <c r="G44" s="75"/>
      <c r="H44" s="75"/>
      <c r="I44" s="75"/>
      <c r="J44" s="76"/>
      <c r="L44" s="38"/>
      <c r="M44" s="39"/>
      <c r="N44" s="39"/>
      <c r="O44" s="39"/>
      <c r="P44" s="39"/>
      <c r="Q44" s="40"/>
    </row>
    <row r="45" spans="2:20" ht="15" customHeight="1" thickTop="1"/>
    <row r="56" spans="2:17">
      <c r="B56" s="87" t="s">
        <v>47</v>
      </c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</row>
    <row r="57" spans="2:17">
      <c r="B57" s="87" t="s">
        <v>48</v>
      </c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</row>
  </sheetData>
  <protectedRanges>
    <protectedRange sqref="N8:N11 N14:N23" name="Bereich1"/>
  </protectedRanges>
  <mergeCells count="13">
    <mergeCell ref="B28:J28"/>
    <mergeCell ref="B56:Q56"/>
    <mergeCell ref="B57:Q57"/>
    <mergeCell ref="C11:J11"/>
    <mergeCell ref="B42:J44"/>
    <mergeCell ref="B41:J41"/>
    <mergeCell ref="B39:J39"/>
    <mergeCell ref="B38:J38"/>
    <mergeCell ref="B30:J30"/>
    <mergeCell ref="B31:J31"/>
    <mergeCell ref="B33:J33"/>
    <mergeCell ref="B34:J36"/>
    <mergeCell ref="B27:J27"/>
  </mergeCells>
  <phoneticPr fontId="0" type="noConversion"/>
  <conditionalFormatting sqref="N27:N30 N33:N35">
    <cfRule type="beginsWith" dxfId="2" priority="6" stopIfTrue="1" operator="beginsWith" text="n">
      <formula>LEFT(N27,LEN("n"))="n"</formula>
    </cfRule>
  </conditionalFormatting>
  <conditionalFormatting sqref="N31">
    <cfRule type="beginsWith" dxfId="1" priority="2" operator="beginsWith" text="n">
      <formula>LEFT(N31,LEN("n"))="n"</formula>
    </cfRule>
  </conditionalFormatting>
  <conditionalFormatting sqref="C14:J23">
    <cfRule type="cellIs" dxfId="0" priority="1" operator="greaterThan">
      <formula>0</formula>
    </cfRule>
  </conditionalFormatting>
  <pageMargins left="0.78740157499999996" right="0.78740157499999996" top="0.984251969" bottom="0.984251969" header="0.4921259845" footer="0.4921259845"/>
  <pageSetup paperSize="9" scale="59" orientation="portrait" verticalDpi="597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TCID50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Binder</dc:creator>
  <cp:lastModifiedBy>Marco Binder</cp:lastModifiedBy>
  <cp:lastPrinted>2017-01-20T10:11:36Z</cp:lastPrinted>
  <dcterms:created xsi:type="dcterms:W3CDTF">2005-08-08T16:25:05Z</dcterms:created>
  <dcterms:modified xsi:type="dcterms:W3CDTF">2017-01-20T10:30:50Z</dcterms:modified>
</cp:coreProperties>
</file>